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<sst xmlns="http://schemas.openxmlformats.org/spreadsheetml/2006/main" count="162" uniqueCount="112">
  <si>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</si>
  <si>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</si>
  <si>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</si>
  <si>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</si>
  <si>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</si>
  <si>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</si>
  <si>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</si>
  <si>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</si>
  <si>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</si>
  <si>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</si>
  <si>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</si>
  <si>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</si>
  <si>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</si>
  <si>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</si>
  <si>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</si>
  <si>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</si>
  <si>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</si>
  <si>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</si>
  <si>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</si>
  <si>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</si>
  <si>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</si>
  <si>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</si>
  <si>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</si>
  <si>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</si>
  <si>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</si>
  <si>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</si>
  <si>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</si>
  <si>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</si>
  <si>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</si>
  <si>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</si>
  <si>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</si>
  <si>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</si>
  <si>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</si>
  <si>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</si>
  <si>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</si>
  <si>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</si>
  <si>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</si>
  <si>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</si>
  <si>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</si>
  <si>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</si>
  <si>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</si>
  <si>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</si>
  <si>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</si>
  <si>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</si>
  <si>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</si>
  <si>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</si>
  <si>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</si>
  <si>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</si>
  <si>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</si>
  <si>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</si>
  <si>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</si>
  <si>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</si>
  <si>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</si>
  <si>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</si>
  <si>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</si>
  <si>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</si>
  <si>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</si>
  <si>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</si>
  <si>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</si>
  <si>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</si>
  <si>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</si>
  <si>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</si>
  <si>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</si>
  <si>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</si>
  <si>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</si>
  <si>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</si>
  <si>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</si>
  <si>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</si>
  <si>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</si>
  <si>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</si>
  <si>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</si>
  <si>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</si>
  <si>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</si>
  <si>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</si>
  <si>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</si>
  <si>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</si>
  <si>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</si>
  <si>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</si>
  <si>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</si>
  <si>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</si>
  <si>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</si>
  <si>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</si>
  <si>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</si>
  <si>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</si>
  <si>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</si>
  <si>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</si>
  <si>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</si>
  <si>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</si>
  <si>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</si>
  <si>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Субвенція державному бюджету на виконання програм соціально-економічного та культурного розвитку регіонів (250344)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</si>
  <si>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</si>
  <si>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</si>
  <si>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</si>
  <si>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</si>
  <si>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</si>
  <si>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</si>
  <si>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</si>
  <si>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</si>
  <si>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</si>
  <si>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</si>
  <si>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</si>
  <si>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План на 1 місяць, тис.грн.</t>
  </si>
  <si>
    <t>Відсоток виконання плану 1 місяця\</t>
  </si>
  <si>
    <t>Відхилення від плану 1 місяця, тис.грн.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</si>
  <si>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</si>
  <si>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</si>
  <si>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</si>
  <si>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</si>
  <si>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</si>
  <si>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</si>
  <si>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</si>
  <si>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Аналіз використання коштів міського бюджету за 2017 рік станом на 27.01.2017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</si>
</sst>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89" fontId="35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63983672"/>
        <c:axId val="43587161"/>
      </c:bar3DChart>
      <c:catAx>
        <c:axId val="63983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587161"/>
        <c:crosses val="autoZero"/>
        <c:auto val="1"/>
        <c:lblOffset val="100"/>
        <c:tickLblSkip val="1"/>
        <c:noMultiLvlLbl val="0"/>
      </c:catAx>
      <c:valAx>
        <c:axId val="435871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836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56068118"/>
        <c:axId val="15362687"/>
      </c:bar3DChart>
      <c:catAx>
        <c:axId val="56068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362687"/>
        <c:crosses val="autoZero"/>
        <c:auto val="1"/>
        <c:lblOffset val="100"/>
        <c:tickLblSkip val="1"/>
        <c:noMultiLvlLbl val="0"/>
      </c:catAx>
      <c:valAx>
        <c:axId val="153626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681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42864740"/>
        <c:axId val="35117909"/>
      </c:bar3DChart>
      <c:catAx>
        <c:axId val="42864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117909"/>
        <c:crosses val="autoZero"/>
        <c:auto val="1"/>
        <c:lblOffset val="100"/>
        <c:tickLblSkip val="1"/>
        <c:noMultiLvlLbl val="0"/>
      </c:catAx>
      <c:valAx>
        <c:axId val="351179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647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49873.5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969.3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11786402"/>
        <c:axId val="6261339"/>
      </c:bar3DChart>
      <c:catAx>
        <c:axId val="11786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61339"/>
        <c:crosses val="autoZero"/>
        <c:auto val="1"/>
        <c:lblOffset val="100"/>
        <c:tickLblSkip val="1"/>
        <c:noMultiLvlLbl val="0"/>
      </c:catAx>
      <c:valAx>
        <c:axId val="6261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864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47361104"/>
        <c:axId val="31294737"/>
      </c:bar3DChart>
      <c:catAx>
        <c:axId val="47361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294737"/>
        <c:crosses val="autoZero"/>
        <c:auto val="1"/>
        <c:lblOffset val="100"/>
        <c:tickLblSkip val="2"/>
        <c:noMultiLvlLbl val="0"/>
      </c:catAx>
      <c:valAx>
        <c:axId val="312947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611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311.8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35132142"/>
        <c:axId val="12199159"/>
      </c:bar3DChart>
      <c:catAx>
        <c:axId val="35132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199159"/>
        <c:crosses val="autoZero"/>
        <c:auto val="1"/>
        <c:lblOffset val="100"/>
        <c:tickLblSkip val="1"/>
        <c:noMultiLvlLbl val="0"/>
      </c:catAx>
      <c:valAx>
        <c:axId val="121991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321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18231292"/>
        <c:axId val="58945421"/>
      </c:bar3DChart>
      <c:catAx>
        <c:axId val="18231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945421"/>
        <c:crosses val="autoZero"/>
        <c:auto val="1"/>
        <c:lblOffset val="100"/>
        <c:tickLblSkip val="1"/>
        <c:noMultiLvlLbl val="0"/>
      </c:catAx>
      <c:valAx>
        <c:axId val="589454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312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49873.5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31695610"/>
        <c:axId val="46757459"/>
      </c:bar3DChart>
      <c:catAx>
        <c:axId val="31695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757459"/>
        <c:crosses val="autoZero"/>
        <c:auto val="1"/>
        <c:lblOffset val="100"/>
        <c:tickLblSkip val="1"/>
        <c:noMultiLvlLbl val="0"/>
      </c:catAx>
      <c:valAx>
        <c:axId val="467574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956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31701.800000000003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730774.2000000001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13789032"/>
        <c:axId val="64337609"/>
      </c:bar3DChart>
      <c:catAx>
        <c:axId val="13789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337609"/>
        <c:crosses val="autoZero"/>
        <c:auto val="1"/>
        <c:lblOffset val="100"/>
        <c:tickLblSkip val="1"/>
        <c:noMultiLvlLbl val="0"/>
      </c:catAx>
      <c:valAx>
        <c:axId val="643376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890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101</v>
      </c>
      <c r="C3" s="130" t="s">
        <v>92</v>
      </c>
      <c r="D3" s="130" t="s">
        <v>23</v>
      </c>
      <c r="E3" s="130" t="s">
        <v>22</v>
      </c>
      <c r="F3" s="130" t="s">
        <v>102</v>
      </c>
      <c r="G3" s="130" t="s">
        <v>94</v>
      </c>
      <c r="H3" s="130" t="s">
        <v>103</v>
      </c>
      <c r="I3" s="130" t="s">
        <v>93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f>61978.3-63.5-56.8-48.8+47.1</f>
        <v>61856.299999999996</v>
      </c>
      <c r="C6" s="46">
        <f>625865.1-190.4-316.9+47.1</f>
        <v>625404.8999999999</v>
      </c>
      <c r="D6" s="47">
        <f>13522.8+199.8+351+3.4+1.2+14658</f>
        <v>28736.199999999997</v>
      </c>
      <c r="E6" s="3">
        <f>D6/D150*100</f>
        <v>56.008887762759116</v>
      </c>
      <c r="F6" s="3">
        <f>D6/B6*100</f>
        <v>46.45638358582715</v>
      </c>
      <c r="G6" s="3">
        <f aca="true" t="shared" si="0" ref="G6:G43">D6/C6*100</f>
        <v>4.594815294859378</v>
      </c>
      <c r="H6" s="47">
        <f>B6-D6</f>
        <v>33120.1</v>
      </c>
      <c r="I6" s="47">
        <f aca="true" t="shared" si="1" ref="I6:I43">C6-D6</f>
        <v>596668.7</v>
      </c>
    </row>
    <row r="7" spans="1:9" s="37" customFormat="1" ht="18.75">
      <c r="A7" s="104" t="s">
        <v>83</v>
      </c>
      <c r="B7" s="97">
        <f>20273.8+47.1</f>
        <v>20320.899999999998</v>
      </c>
      <c r="C7" s="94">
        <f>243287.4+47.1</f>
        <v>243334.5</v>
      </c>
      <c r="D7" s="105">
        <f>6699.4+11261.7</f>
        <v>17961.1</v>
      </c>
      <c r="E7" s="95">
        <f>D7/D6*100</f>
        <v>62.50339293295565</v>
      </c>
      <c r="F7" s="95">
        <f>D7/B7*100</f>
        <v>88.38732536452618</v>
      </c>
      <c r="G7" s="95">
        <f>D7/C7*100</f>
        <v>7.381238583102682</v>
      </c>
      <c r="H7" s="105">
        <f>B7-D7</f>
        <v>2359.7999999999993</v>
      </c>
      <c r="I7" s="105">
        <f t="shared" si="1"/>
        <v>225373.4</v>
      </c>
    </row>
    <row r="8" spans="1:9" ht="18">
      <c r="A8" s="23" t="s">
        <v>3</v>
      </c>
      <c r="B8" s="42">
        <f>39307.7+47.1+1680.7+57.5</f>
        <v>41092.99999999999</v>
      </c>
      <c r="C8" s="43">
        <f>487771.7+47.1</f>
        <v>487818.8</v>
      </c>
      <c r="D8" s="44">
        <f>12945+14658</f>
        <v>27603</v>
      </c>
      <c r="E8" s="1">
        <f>D8/D6*100</f>
        <v>96.05654192273163</v>
      </c>
      <c r="F8" s="1">
        <f>D8/B8*100</f>
        <v>67.17202443238509</v>
      </c>
      <c r="G8" s="1">
        <f t="shared" si="0"/>
        <v>5.65845350773689</v>
      </c>
      <c r="H8" s="44">
        <f>B8-D8</f>
        <v>13489.999999999993</v>
      </c>
      <c r="I8" s="44">
        <f t="shared" si="1"/>
        <v>460215.8</v>
      </c>
    </row>
    <row r="9" spans="1:9" ht="18">
      <c r="A9" s="23" t="s">
        <v>2</v>
      </c>
      <c r="B9" s="42">
        <v>4.6</v>
      </c>
      <c r="C9" s="43">
        <v>92.5</v>
      </c>
      <c r="D9" s="44"/>
      <c r="E9" s="12">
        <f>D9/D6*100</f>
        <v>0</v>
      </c>
      <c r="F9" s="120">
        <f>D9/B9*100</f>
        <v>0</v>
      </c>
      <c r="G9" s="1">
        <f t="shared" si="0"/>
        <v>0</v>
      </c>
      <c r="H9" s="44">
        <f aca="true" t="shared" si="2" ref="H9:H43">B9-D9</f>
        <v>4.6</v>
      </c>
      <c r="I9" s="44">
        <f t="shared" si="1"/>
        <v>92.5</v>
      </c>
    </row>
    <row r="10" spans="1:9" ht="18">
      <c r="A10" s="23" t="s">
        <v>1</v>
      </c>
      <c r="B10" s="42">
        <f>2344.6-63.5-56.8</f>
        <v>2224.2999999999997</v>
      </c>
      <c r="C10" s="43">
        <f>27822.4-190.4-170.5</f>
        <v>27461.5</v>
      </c>
      <c r="D10" s="48">
        <f>577.8+199.8+74.7</f>
        <v>852.3</v>
      </c>
      <c r="E10" s="1">
        <f>D10/D6*100</f>
        <v>2.965945392919036</v>
      </c>
      <c r="F10" s="1">
        <f aca="true" t="shared" si="3" ref="F10:F41">D10/B10*100</f>
        <v>38.31767297576766</v>
      </c>
      <c r="G10" s="1">
        <f t="shared" si="0"/>
        <v>3.1036177921817814</v>
      </c>
      <c r="H10" s="44">
        <f t="shared" si="2"/>
        <v>1371.9999999999998</v>
      </c>
      <c r="I10" s="44">
        <f t="shared" si="1"/>
        <v>26609.2</v>
      </c>
    </row>
    <row r="11" spans="1:9" ht="18">
      <c r="A11" s="23" t="s">
        <v>0</v>
      </c>
      <c r="B11" s="42">
        <f>18581.8-1756.3-57.5</f>
        <v>16768</v>
      </c>
      <c r="C11" s="43">
        <v>80900.5</v>
      </c>
      <c r="D11" s="49"/>
      <c r="E11" s="1">
        <f>D11/D6*100</f>
        <v>0</v>
      </c>
      <c r="F11" s="1">
        <f t="shared" si="3"/>
        <v>0</v>
      </c>
      <c r="G11" s="1">
        <f t="shared" si="0"/>
        <v>0</v>
      </c>
      <c r="H11" s="44">
        <f t="shared" si="2"/>
        <v>16768</v>
      </c>
      <c r="I11" s="44">
        <f t="shared" si="1"/>
        <v>80900.5</v>
      </c>
    </row>
    <row r="12" spans="1:9" ht="18">
      <c r="A12" s="23" t="s">
        <v>14</v>
      </c>
      <c r="B12" s="42">
        <f>1314.9-48.8+18.1</f>
        <v>1284.2</v>
      </c>
      <c r="C12" s="43">
        <v>14045.4</v>
      </c>
      <c r="D12" s="44">
        <f>276.3+3.4+1.2</f>
        <v>280.9</v>
      </c>
      <c r="E12" s="1">
        <f>D12/D6*100</f>
        <v>0.9775126843493572</v>
      </c>
      <c r="F12" s="1">
        <f t="shared" si="3"/>
        <v>21.87353994704874</v>
      </c>
      <c r="G12" s="1">
        <f t="shared" si="0"/>
        <v>1.9999430418500008</v>
      </c>
      <c r="H12" s="44">
        <f t="shared" si="2"/>
        <v>1003.3000000000001</v>
      </c>
      <c r="I12" s="44">
        <f t="shared" si="1"/>
        <v>13764.5</v>
      </c>
    </row>
    <row r="13" spans="1:9" ht="18.75" thickBot="1">
      <c r="A13" s="23" t="s">
        <v>28</v>
      </c>
      <c r="B13" s="43">
        <f>B6-B8-B9-B10-B11-B12</f>
        <v>482.20000000000505</v>
      </c>
      <c r="C13" s="43">
        <f>C6-C8-C9-C10-C11-C12</f>
        <v>15086.199999999919</v>
      </c>
      <c r="D13" s="43">
        <f>D6-D8-D9-D10-D11-D12</f>
        <v>-2.8421709430404007E-12</v>
      </c>
      <c r="E13" s="1">
        <f>D13/D6*100</f>
        <v>-9.890559444325976E-15</v>
      </c>
      <c r="F13" s="1">
        <f t="shared" si="3"/>
        <v>-5.894174498217277E-13</v>
      </c>
      <c r="G13" s="1">
        <f t="shared" si="0"/>
        <v>-1.8839541720515545E-14</v>
      </c>
      <c r="H13" s="44">
        <f t="shared" si="2"/>
        <v>482.2000000000079</v>
      </c>
      <c r="I13" s="44">
        <f t="shared" si="1"/>
        <v>15086.199999999923</v>
      </c>
    </row>
    <row r="14" spans="1:9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v>33019.9</v>
      </c>
      <c r="C18" s="46">
        <v>329127.1</v>
      </c>
      <c r="D18" s="47">
        <f>7750.2</f>
        <v>7750.2</v>
      </c>
      <c r="E18" s="3">
        <f>D18/D150*100</f>
        <v>15.105688363072908</v>
      </c>
      <c r="F18" s="3">
        <f>D18/B18*100</f>
        <v>23.47130063991714</v>
      </c>
      <c r="G18" s="3">
        <f t="shared" si="0"/>
        <v>2.3547741890594853</v>
      </c>
      <c r="H18" s="47">
        <f>B18-D18</f>
        <v>25269.7</v>
      </c>
      <c r="I18" s="47">
        <f t="shared" si="1"/>
        <v>321376.89999999997</v>
      </c>
    </row>
    <row r="19" spans="1:9" s="37" customFormat="1" ht="18.75">
      <c r="A19" s="104" t="s">
        <v>84</v>
      </c>
      <c r="B19" s="97">
        <v>19854.3</v>
      </c>
      <c r="C19" s="94">
        <v>238249.5</v>
      </c>
      <c r="D19" s="105">
        <f>7750.2</f>
        <v>7750.2</v>
      </c>
      <c r="E19" s="95">
        <f>D19/D18*100</f>
        <v>100</v>
      </c>
      <c r="F19" s="95">
        <f t="shared" si="3"/>
        <v>39.03537269004699</v>
      </c>
      <c r="G19" s="95">
        <f t="shared" si="0"/>
        <v>3.2529763965926475</v>
      </c>
      <c r="H19" s="105">
        <f t="shared" si="2"/>
        <v>12104.099999999999</v>
      </c>
      <c r="I19" s="105">
        <f t="shared" si="1"/>
        <v>230499.3</v>
      </c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33019.9</v>
      </c>
      <c r="C25" s="43">
        <f>C18</f>
        <v>329127.1</v>
      </c>
      <c r="D25" s="43">
        <f>D18</f>
        <v>7750.2</v>
      </c>
      <c r="E25" s="1">
        <f>D25/D18*100</f>
        <v>100</v>
      </c>
      <c r="F25" s="1">
        <f t="shared" si="3"/>
        <v>23.47130063991714</v>
      </c>
      <c r="G25" s="1">
        <f t="shared" si="0"/>
        <v>2.3547741890594853</v>
      </c>
      <c r="H25" s="44">
        <f t="shared" si="2"/>
        <v>25269.7</v>
      </c>
      <c r="I25" s="44">
        <f t="shared" si="1"/>
        <v>321376.89999999997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4735.4</v>
      </c>
      <c r="C33" s="46">
        <v>67303.3</v>
      </c>
      <c r="D33" s="50">
        <f>1839.2+34.8+165.7</f>
        <v>2039.7</v>
      </c>
      <c r="E33" s="3">
        <f>D33/D150*100</f>
        <v>3.9755196709968534</v>
      </c>
      <c r="F33" s="3">
        <f>D33/B33*100</f>
        <v>43.073446804916166</v>
      </c>
      <c r="G33" s="3">
        <f t="shared" si="0"/>
        <v>3.030609197468772</v>
      </c>
      <c r="H33" s="47">
        <f t="shared" si="2"/>
        <v>2695.7</v>
      </c>
      <c r="I33" s="47">
        <f t="shared" si="1"/>
        <v>65263.600000000006</v>
      </c>
    </row>
    <row r="34" spans="1:9" ht="18">
      <c r="A34" s="23" t="s">
        <v>3</v>
      </c>
      <c r="B34" s="42">
        <v>3618.4</v>
      </c>
      <c r="C34" s="43">
        <v>55535.9</v>
      </c>
      <c r="D34" s="44">
        <f>1743.2</f>
        <v>1743.2</v>
      </c>
      <c r="E34" s="1">
        <f>D34/D33*100</f>
        <v>85.4635485610629</v>
      </c>
      <c r="F34" s="1">
        <f t="shared" si="3"/>
        <v>48.17598938757462</v>
      </c>
      <c r="G34" s="1">
        <f t="shared" si="0"/>
        <v>3.1388705323943613</v>
      </c>
      <c r="H34" s="44">
        <f t="shared" si="2"/>
        <v>1875.2</v>
      </c>
      <c r="I34" s="44">
        <f t="shared" si="1"/>
        <v>53792.700000000004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307.6</v>
      </c>
      <c r="C36" s="43">
        <v>2945.3</v>
      </c>
      <c r="D36" s="44"/>
      <c r="E36" s="1">
        <f>D36/D33*100</f>
        <v>0</v>
      </c>
      <c r="F36" s="1">
        <f t="shared" si="3"/>
        <v>0</v>
      </c>
      <c r="G36" s="1">
        <f t="shared" si="0"/>
        <v>0</v>
      </c>
      <c r="H36" s="44">
        <f t="shared" si="2"/>
        <v>307.6</v>
      </c>
      <c r="I36" s="44">
        <f t="shared" si="1"/>
        <v>2945.3</v>
      </c>
    </row>
    <row r="37" spans="1:9" s="37" customFormat="1" ht="18.75">
      <c r="A37" s="18" t="s">
        <v>7</v>
      </c>
      <c r="B37" s="51">
        <v>45.4</v>
      </c>
      <c r="C37" s="52">
        <v>856.1</v>
      </c>
      <c r="D37" s="53"/>
      <c r="E37" s="17">
        <f>D37/D33*100</f>
        <v>0</v>
      </c>
      <c r="F37" s="17">
        <f t="shared" si="3"/>
        <v>0</v>
      </c>
      <c r="G37" s="17">
        <f t="shared" si="0"/>
        <v>0</v>
      </c>
      <c r="H37" s="53">
        <f t="shared" si="2"/>
        <v>45.4</v>
      </c>
      <c r="I37" s="53">
        <f t="shared" si="1"/>
        <v>856.1</v>
      </c>
    </row>
    <row r="38" spans="1:9" ht="18">
      <c r="A38" s="23" t="s">
        <v>14</v>
      </c>
      <c r="B38" s="42">
        <v>5.1</v>
      </c>
      <c r="C38" s="43">
        <v>80.8</v>
      </c>
      <c r="D38" s="43"/>
      <c r="E38" s="1">
        <f>D38/D33*100</f>
        <v>0</v>
      </c>
      <c r="F38" s="1">
        <f t="shared" si="3"/>
        <v>0</v>
      </c>
      <c r="G38" s="1">
        <f t="shared" si="0"/>
        <v>0</v>
      </c>
      <c r="H38" s="44">
        <f t="shared" si="2"/>
        <v>5.1</v>
      </c>
      <c r="I38" s="44">
        <f t="shared" si="1"/>
        <v>80.8</v>
      </c>
    </row>
    <row r="39" spans="1:9" ht="18.75" thickBot="1">
      <c r="A39" s="23" t="s">
        <v>28</v>
      </c>
      <c r="B39" s="42">
        <f>B33-B34-B36-B37-B35-B38</f>
        <v>758.8999999999995</v>
      </c>
      <c r="C39" s="42">
        <f>C33-C34-C36-C37-C35-C38</f>
        <v>7885.200000000002</v>
      </c>
      <c r="D39" s="42">
        <f>D33-D34-D36-D37-D35-D38</f>
        <v>296.5</v>
      </c>
      <c r="E39" s="1">
        <f>D39/D33*100</f>
        <v>14.536451438937098</v>
      </c>
      <c r="F39" s="1">
        <f t="shared" si="3"/>
        <v>39.06970615364346</v>
      </c>
      <c r="G39" s="1">
        <f t="shared" si="0"/>
        <v>3.760208999137624</v>
      </c>
      <c r="H39" s="44">
        <f>B39-D39</f>
        <v>462.3999999999995</v>
      </c>
      <c r="I39" s="44">
        <f t="shared" si="1"/>
        <v>7588.700000000002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152.3</v>
      </c>
      <c r="C43" s="46">
        <v>1548.6</v>
      </c>
      <c r="D43" s="47">
        <f>29.1</f>
        <v>29.1</v>
      </c>
      <c r="E43" s="3">
        <f>D43/D150*100</f>
        <v>0.05671795971270698</v>
      </c>
      <c r="F43" s="3">
        <f>D43/B43*100</f>
        <v>19.107025607353904</v>
      </c>
      <c r="G43" s="3">
        <f t="shared" si="0"/>
        <v>1.8791166214645487</v>
      </c>
      <c r="H43" s="47">
        <f t="shared" si="2"/>
        <v>123.20000000000002</v>
      </c>
      <c r="I43" s="47">
        <f t="shared" si="1"/>
        <v>1519.5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968.3</v>
      </c>
      <c r="C45" s="46">
        <v>11788</v>
      </c>
      <c r="D45" s="47">
        <f>102.9+155.5+3.1+3.7</f>
        <v>265.2</v>
      </c>
      <c r="E45" s="3">
        <f>D45/D150*100</f>
        <v>0.5168935709900306</v>
      </c>
      <c r="F45" s="3">
        <f>D45/B45*100</f>
        <v>27.38820613446246</v>
      </c>
      <c r="G45" s="3">
        <f aca="true" t="shared" si="4" ref="G45:G76">D45/C45*100</f>
        <v>2.249745503902273</v>
      </c>
      <c r="H45" s="47">
        <f>B45-D45</f>
        <v>703.0999999999999</v>
      </c>
      <c r="I45" s="47">
        <f aca="true" t="shared" si="5" ref="I45:I77">C45-D45</f>
        <v>11522.8</v>
      </c>
    </row>
    <row r="46" spans="1:9" ht="18">
      <c r="A46" s="23" t="s">
        <v>3</v>
      </c>
      <c r="B46" s="42">
        <v>815.3</v>
      </c>
      <c r="C46" s="43">
        <v>10529.7</v>
      </c>
      <c r="D46" s="44">
        <f>102.7+154.9</f>
        <v>257.6</v>
      </c>
      <c r="E46" s="1">
        <f>D46/D45*100</f>
        <v>97.13423831070891</v>
      </c>
      <c r="F46" s="1">
        <f aca="true" t="shared" si="6" ref="F46:F74">D46/B46*100</f>
        <v>31.595731632527908</v>
      </c>
      <c r="G46" s="1">
        <f t="shared" si="4"/>
        <v>2.4464134780668014</v>
      </c>
      <c r="H46" s="44">
        <f aca="true" t="shared" si="7" ref="H46:H74">B46-D46</f>
        <v>557.6999999999999</v>
      </c>
      <c r="I46" s="44">
        <f t="shared" si="5"/>
        <v>10272.1</v>
      </c>
    </row>
    <row r="47" spans="1:9" ht="18">
      <c r="A47" s="23" t="s">
        <v>2</v>
      </c>
      <c r="B47" s="42">
        <v>0</v>
      </c>
      <c r="C47" s="43">
        <v>1.4</v>
      </c>
      <c r="D47" s="44"/>
      <c r="E47" s="1">
        <f>D47/D45*100</f>
        <v>0</v>
      </c>
      <c r="F47" s="103" t="e">
        <f t="shared" si="6"/>
        <v>#DIV/0!</v>
      </c>
      <c r="G47" s="1">
        <f t="shared" si="4"/>
        <v>0</v>
      </c>
      <c r="H47" s="44">
        <f t="shared" si="7"/>
        <v>0</v>
      </c>
      <c r="I47" s="44">
        <f t="shared" si="5"/>
        <v>1.4</v>
      </c>
    </row>
    <row r="48" spans="1:9" ht="18">
      <c r="A48" s="23" t="s">
        <v>1</v>
      </c>
      <c r="B48" s="42">
        <v>0</v>
      </c>
      <c r="C48" s="43">
        <v>73.4</v>
      </c>
      <c r="D48" s="44"/>
      <c r="E48" s="1">
        <f>D48/D45*100</f>
        <v>0</v>
      </c>
      <c r="F48" s="103" t="e">
        <f t="shared" si="6"/>
        <v>#DIV/0!</v>
      </c>
      <c r="G48" s="1">
        <f t="shared" si="4"/>
        <v>0</v>
      </c>
      <c r="H48" s="44">
        <f t="shared" si="7"/>
        <v>0</v>
      </c>
      <c r="I48" s="44">
        <f t="shared" si="5"/>
        <v>73.4</v>
      </c>
    </row>
    <row r="49" spans="1:9" ht="18">
      <c r="A49" s="23" t="s">
        <v>0</v>
      </c>
      <c r="B49" s="42">
        <v>138.9</v>
      </c>
      <c r="C49" s="43">
        <v>865.1</v>
      </c>
      <c r="D49" s="44">
        <f>3.1+3.5</f>
        <v>6.6</v>
      </c>
      <c r="E49" s="1">
        <f>D49/D45*100</f>
        <v>2.48868778280543</v>
      </c>
      <c r="F49" s="1">
        <f t="shared" si="6"/>
        <v>4.751619870410367</v>
      </c>
      <c r="G49" s="1">
        <f t="shared" si="4"/>
        <v>0.7629175817824528</v>
      </c>
      <c r="H49" s="44">
        <f t="shared" si="7"/>
        <v>132.3</v>
      </c>
      <c r="I49" s="44">
        <f t="shared" si="5"/>
        <v>858.5</v>
      </c>
    </row>
    <row r="50" spans="1:9" ht="18.75" thickBot="1">
      <c r="A50" s="23" t="s">
        <v>28</v>
      </c>
      <c r="B50" s="43">
        <f>B45-B46-B49-B48-B47</f>
        <v>14.099999999999994</v>
      </c>
      <c r="C50" s="43">
        <f>C45-C46-C49-C48-C47</f>
        <v>318.3999999999993</v>
      </c>
      <c r="D50" s="43">
        <f>D45-D46-D49-D48-D47</f>
        <v>0.9999999999999662</v>
      </c>
      <c r="E50" s="1">
        <f>D50/D45*100</f>
        <v>0.37707390648565847</v>
      </c>
      <c r="F50" s="1">
        <f t="shared" si="6"/>
        <v>7.092198581560047</v>
      </c>
      <c r="G50" s="1">
        <f t="shared" si="4"/>
        <v>0.31407035175878406</v>
      </c>
      <c r="H50" s="44">
        <f t="shared" si="7"/>
        <v>13.100000000000028</v>
      </c>
      <c r="I50" s="44">
        <f t="shared" si="5"/>
        <v>317.39999999999935</v>
      </c>
    </row>
    <row r="51" spans="1:9" ht="18.75" thickBot="1">
      <c r="A51" s="22" t="s">
        <v>4</v>
      </c>
      <c r="B51" s="45">
        <v>1933.7</v>
      </c>
      <c r="C51" s="46">
        <v>23558.7</v>
      </c>
      <c r="D51" s="47">
        <f>475.9+7.8</f>
        <v>483.7</v>
      </c>
      <c r="E51" s="3">
        <f>D51/D150*100</f>
        <v>0.9427655365304594</v>
      </c>
      <c r="F51" s="3">
        <f>D51/B51*100</f>
        <v>25.014221440761236</v>
      </c>
      <c r="G51" s="3">
        <f t="shared" si="4"/>
        <v>2.053169317492052</v>
      </c>
      <c r="H51" s="47">
        <f>B51-D51</f>
        <v>1450</v>
      </c>
      <c r="I51" s="47">
        <f t="shared" si="5"/>
        <v>23075</v>
      </c>
    </row>
    <row r="52" spans="1:9" ht="18">
      <c r="A52" s="23" t="s">
        <v>3</v>
      </c>
      <c r="B52" s="42">
        <v>1194</v>
      </c>
      <c r="C52" s="43">
        <v>16189.8</v>
      </c>
      <c r="D52" s="44">
        <f>392.4</f>
        <v>392.4</v>
      </c>
      <c r="E52" s="1">
        <f>D52/D51*100</f>
        <v>81.12466404796362</v>
      </c>
      <c r="F52" s="1">
        <f t="shared" si="6"/>
        <v>32.8643216080402</v>
      </c>
      <c r="G52" s="1">
        <f t="shared" si="4"/>
        <v>2.423748285957825</v>
      </c>
      <c r="H52" s="44">
        <f t="shared" si="7"/>
        <v>801.6</v>
      </c>
      <c r="I52" s="44">
        <f t="shared" si="5"/>
        <v>15797.4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50.5</v>
      </c>
      <c r="C54" s="43">
        <v>810.2</v>
      </c>
      <c r="D54" s="44"/>
      <c r="E54" s="1">
        <f>D54/D51*100</f>
        <v>0</v>
      </c>
      <c r="F54" s="1">
        <f t="shared" si="6"/>
        <v>0</v>
      </c>
      <c r="G54" s="1">
        <f t="shared" si="4"/>
        <v>0</v>
      </c>
      <c r="H54" s="44">
        <f t="shared" si="7"/>
        <v>50.5</v>
      </c>
      <c r="I54" s="44">
        <f t="shared" si="5"/>
        <v>810.2</v>
      </c>
    </row>
    <row r="55" spans="1:9" ht="18">
      <c r="A55" s="23" t="s">
        <v>0</v>
      </c>
      <c r="B55" s="42">
        <v>133.7</v>
      </c>
      <c r="C55" s="43">
        <v>1048.5</v>
      </c>
      <c r="D55" s="44"/>
      <c r="E55" s="1">
        <f>D55/D51*100</f>
        <v>0</v>
      </c>
      <c r="F55" s="1">
        <f t="shared" si="6"/>
        <v>0</v>
      </c>
      <c r="G55" s="1">
        <f t="shared" si="4"/>
        <v>0</v>
      </c>
      <c r="H55" s="44">
        <f t="shared" si="7"/>
        <v>133.7</v>
      </c>
      <c r="I55" s="44">
        <f t="shared" si="5"/>
        <v>1048.5</v>
      </c>
    </row>
    <row r="56" spans="1:9" ht="18">
      <c r="A56" s="23" t="s">
        <v>14</v>
      </c>
      <c r="B56" s="42">
        <v>43.2</v>
      </c>
      <c r="C56" s="43">
        <v>518.9</v>
      </c>
      <c r="D56" s="43"/>
      <c r="E56" s="1">
        <f>D56/D51*100</f>
        <v>0</v>
      </c>
      <c r="F56" s="1">
        <f>D56/B56*100</f>
        <v>0</v>
      </c>
      <c r="G56" s="1">
        <f>D56/C56*100</f>
        <v>0</v>
      </c>
      <c r="H56" s="44">
        <f t="shared" si="7"/>
        <v>43.2</v>
      </c>
      <c r="I56" s="44">
        <f t="shared" si="5"/>
        <v>518.9</v>
      </c>
    </row>
    <row r="57" spans="1:9" ht="18.75" thickBot="1">
      <c r="A57" s="23" t="s">
        <v>28</v>
      </c>
      <c r="B57" s="43">
        <f>B51-B52-B55-B54-B53-B56</f>
        <v>512.3</v>
      </c>
      <c r="C57" s="43">
        <f>C51-C52-C55-C54-C53-C56</f>
        <v>4978.300000000002</v>
      </c>
      <c r="D57" s="43">
        <f>D51-D52-D55-D54-D53-D56</f>
        <v>91.30000000000001</v>
      </c>
      <c r="E57" s="1">
        <f>D57/D51*100</f>
        <v>18.87533595203639</v>
      </c>
      <c r="F57" s="1">
        <f t="shared" si="6"/>
        <v>17.821588912746442</v>
      </c>
      <c r="G57" s="1">
        <f t="shared" si="4"/>
        <v>1.8339593837253678</v>
      </c>
      <c r="H57" s="44">
        <f>B57-D57</f>
        <v>420.99999999999994</v>
      </c>
      <c r="I57" s="44">
        <f>C57-D57</f>
        <v>4887.000000000002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316.9</v>
      </c>
      <c r="C59" s="46">
        <v>7844.6</v>
      </c>
      <c r="D59" s="47">
        <f>55.6+0.2</f>
        <v>55.800000000000004</v>
      </c>
      <c r="E59" s="3">
        <f>D59/D150*100</f>
        <v>0.10875814955220103</v>
      </c>
      <c r="F59" s="3">
        <f>D59/B59*100</f>
        <v>17.608078258125595</v>
      </c>
      <c r="G59" s="3">
        <f t="shared" si="4"/>
        <v>0.7113173393162175</v>
      </c>
      <c r="H59" s="47">
        <f>B59-D59</f>
        <v>261.09999999999997</v>
      </c>
      <c r="I59" s="47">
        <f t="shared" si="5"/>
        <v>7788.8</v>
      </c>
    </row>
    <row r="60" spans="1:9" ht="18">
      <c r="A60" s="23" t="s">
        <v>3</v>
      </c>
      <c r="B60" s="42">
        <v>235.1</v>
      </c>
      <c r="C60" s="43">
        <v>2900.3</v>
      </c>
      <c r="D60" s="44">
        <f>55.6</f>
        <v>55.6</v>
      </c>
      <c r="E60" s="1">
        <f>D60/D59*100</f>
        <v>99.6415770609319</v>
      </c>
      <c r="F60" s="1">
        <f t="shared" si="6"/>
        <v>23.649510846448322</v>
      </c>
      <c r="G60" s="1">
        <f t="shared" si="4"/>
        <v>1.917043064510568</v>
      </c>
      <c r="H60" s="44">
        <f t="shared" si="7"/>
        <v>179.5</v>
      </c>
      <c r="I60" s="44">
        <f t="shared" si="5"/>
        <v>2844.7000000000003</v>
      </c>
    </row>
    <row r="61" spans="1:9" ht="18">
      <c r="A61" s="23" t="s">
        <v>1</v>
      </c>
      <c r="B61" s="42">
        <v>0</v>
      </c>
      <c r="C61" s="43">
        <v>337.1</v>
      </c>
      <c r="D61" s="44"/>
      <c r="E61" s="1">
        <f>D61/D59*100</f>
        <v>0</v>
      </c>
      <c r="F61" s="103" t="e">
        <f>D61/B61*100</f>
        <v>#DIV/0!</v>
      </c>
      <c r="G61" s="1">
        <f t="shared" si="4"/>
        <v>0</v>
      </c>
      <c r="H61" s="44">
        <f t="shared" si="7"/>
        <v>0</v>
      </c>
      <c r="I61" s="44">
        <f t="shared" si="5"/>
        <v>337.1</v>
      </c>
    </row>
    <row r="62" spans="1:9" ht="18">
      <c r="A62" s="23" t="s">
        <v>0</v>
      </c>
      <c r="B62" s="42">
        <v>80.5</v>
      </c>
      <c r="C62" s="43">
        <v>451.8</v>
      </c>
      <c r="D62" s="44"/>
      <c r="E62" s="1">
        <f>D62/D59*100</f>
        <v>0</v>
      </c>
      <c r="F62" s="1">
        <f t="shared" si="6"/>
        <v>0</v>
      </c>
      <c r="G62" s="1">
        <f t="shared" si="4"/>
        <v>0</v>
      </c>
      <c r="H62" s="44">
        <f t="shared" si="7"/>
        <v>80.5</v>
      </c>
      <c r="I62" s="44">
        <f t="shared" si="5"/>
        <v>451.8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1.299999999999983</v>
      </c>
      <c r="C64" s="43">
        <f>C59-C60-C62-C63-C61</f>
        <v>448.30000000000007</v>
      </c>
      <c r="D64" s="43">
        <f>D59-D60-D62-D63-D61</f>
        <v>0.20000000000000284</v>
      </c>
      <c r="E64" s="1">
        <f>D64/D59*100</f>
        <v>0.3584229390681054</v>
      </c>
      <c r="F64" s="1">
        <f t="shared" si="6"/>
        <v>15.384615384615804</v>
      </c>
      <c r="G64" s="1">
        <f t="shared" si="4"/>
        <v>0.04461298237787259</v>
      </c>
      <c r="H64" s="44">
        <f t="shared" si="7"/>
        <v>1.09999999999998</v>
      </c>
      <c r="I64" s="44">
        <f t="shared" si="5"/>
        <v>448.1000000000001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42.4</v>
      </c>
      <c r="C69" s="46">
        <f>C70+C71</f>
        <v>477.7</v>
      </c>
      <c r="D69" s="47">
        <f>SUM(D70:D71)</f>
        <v>0</v>
      </c>
      <c r="E69" s="35">
        <f>D69/D150*100</f>
        <v>0</v>
      </c>
      <c r="F69" s="3">
        <f>D69/B69*100</f>
        <v>0</v>
      </c>
      <c r="G69" s="3">
        <f t="shared" si="4"/>
        <v>0</v>
      </c>
      <c r="H69" s="47">
        <f>B69-D69</f>
        <v>42.4</v>
      </c>
      <c r="I69" s="47">
        <f t="shared" si="5"/>
        <v>477.7</v>
      </c>
    </row>
    <row r="70" spans="1:9" ht="18">
      <c r="A70" s="23" t="s">
        <v>8</v>
      </c>
      <c r="B70" s="42">
        <v>32</v>
      </c>
      <c r="C70" s="43">
        <v>203.8</v>
      </c>
      <c r="D70" s="44"/>
      <c r="E70" s="1" t="e">
        <f>D70/D69*100</f>
        <v>#DIV/0!</v>
      </c>
      <c r="F70" s="1">
        <f t="shared" si="6"/>
        <v>0</v>
      </c>
      <c r="G70" s="1">
        <f t="shared" si="4"/>
        <v>0</v>
      </c>
      <c r="H70" s="44">
        <f t="shared" si="7"/>
        <v>32</v>
      </c>
      <c r="I70" s="44">
        <f t="shared" si="5"/>
        <v>203.8</v>
      </c>
    </row>
    <row r="71" spans="1:9" ht="18.75" thickBot="1">
      <c r="A71" s="23" t="s">
        <v>9</v>
      </c>
      <c r="B71" s="42">
        <v>10.4</v>
      </c>
      <c r="C71" s="43">
        <v>273.9</v>
      </c>
      <c r="D71" s="44"/>
      <c r="E71" s="1" t="e">
        <f>D71/D70*100</f>
        <v>#DIV/0!</v>
      </c>
      <c r="F71" s="1">
        <f t="shared" si="6"/>
        <v>0</v>
      </c>
      <c r="G71" s="1">
        <f t="shared" si="4"/>
        <v>0</v>
      </c>
      <c r="H71" s="44">
        <f t="shared" si="7"/>
        <v>10.4</v>
      </c>
      <c r="I71" s="44">
        <f t="shared" si="5"/>
        <v>273.9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833.3</v>
      </c>
      <c r="C77" s="62">
        <v>10000</v>
      </c>
      <c r="D77" s="63"/>
      <c r="E77" s="41"/>
      <c r="F77" s="41"/>
      <c r="G77" s="41"/>
      <c r="H77" s="63">
        <f>B77-D77</f>
        <v>833.3</v>
      </c>
      <c r="I77" s="63">
        <f t="shared" si="5"/>
        <v>10000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13498.9</v>
      </c>
      <c r="C90" s="46">
        <v>157960</v>
      </c>
      <c r="D90" s="47">
        <f>4.8+1016.5+864.1+250.6+6.8+2.9+10.6+5.5+0.6+1.5+29.3+1648.7</f>
        <v>3841.9000000000005</v>
      </c>
      <c r="E90" s="3">
        <f>D90/D150*100</f>
        <v>7.488135031623678</v>
      </c>
      <c r="F90" s="3">
        <f aca="true" t="shared" si="10" ref="F90:F96">D90/B90*100</f>
        <v>28.460837549726282</v>
      </c>
      <c r="G90" s="3">
        <f t="shared" si="8"/>
        <v>2.43219802481641</v>
      </c>
      <c r="H90" s="47">
        <f aca="true" t="shared" si="11" ref="H90:H96">B90-D90</f>
        <v>9657</v>
      </c>
      <c r="I90" s="47">
        <f t="shared" si="9"/>
        <v>154118.1</v>
      </c>
    </row>
    <row r="91" spans="1:9" ht="18">
      <c r="A91" s="23" t="s">
        <v>3</v>
      </c>
      <c r="B91" s="42">
        <f>12428.6-20</f>
        <v>12408.6</v>
      </c>
      <c r="C91" s="43">
        <v>148246.2</v>
      </c>
      <c r="D91" s="44">
        <f>1016.5+861.2+216.8+0.1+15.6+1633.8</f>
        <v>3744</v>
      </c>
      <c r="E91" s="1">
        <f>D91/D90*100</f>
        <v>97.4517816705276</v>
      </c>
      <c r="F91" s="1">
        <f t="shared" si="10"/>
        <v>30.17262221362603</v>
      </c>
      <c r="G91" s="1">
        <f t="shared" si="8"/>
        <v>2.5255284789761894</v>
      </c>
      <c r="H91" s="44">
        <f t="shared" si="11"/>
        <v>8664.6</v>
      </c>
      <c r="I91" s="44">
        <f t="shared" si="9"/>
        <v>144502.2</v>
      </c>
    </row>
    <row r="92" spans="1:9" ht="18">
      <c r="A92" s="23" t="s">
        <v>26</v>
      </c>
      <c r="B92" s="42">
        <v>405.9</v>
      </c>
      <c r="C92" s="43">
        <v>2620.6</v>
      </c>
      <c r="D92" s="44"/>
      <c r="E92" s="1">
        <f>D92/D90*100</f>
        <v>0</v>
      </c>
      <c r="F92" s="1">
        <f t="shared" si="10"/>
        <v>0</v>
      </c>
      <c r="G92" s="1">
        <f t="shared" si="8"/>
        <v>0</v>
      </c>
      <c r="H92" s="44">
        <f t="shared" si="11"/>
        <v>405.9</v>
      </c>
      <c r="I92" s="44">
        <f t="shared" si="9"/>
        <v>2620.6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684.3999999999993</v>
      </c>
      <c r="C94" s="43">
        <f>C90-C91-C92-C93</f>
        <v>7093.199999999988</v>
      </c>
      <c r="D94" s="43">
        <f>D90-D91-D92-D93</f>
        <v>97.90000000000055</v>
      </c>
      <c r="E94" s="1">
        <f>D94/D90*100</f>
        <v>2.5482183294724106</v>
      </c>
      <c r="F94" s="1">
        <f t="shared" si="10"/>
        <v>14.304500292226862</v>
      </c>
      <c r="G94" s="1">
        <f>D94/C94*100</f>
        <v>1.3801951164495674</v>
      </c>
      <c r="H94" s="44">
        <f t="shared" si="11"/>
        <v>586.4999999999987</v>
      </c>
      <c r="I94" s="44">
        <f>C94-D94</f>
        <v>6995.299999999987</v>
      </c>
    </row>
    <row r="95" spans="1:9" ht="18.75">
      <c r="A95" s="108" t="s">
        <v>12</v>
      </c>
      <c r="B95" s="111">
        <v>5591.7</v>
      </c>
      <c r="C95" s="113">
        <v>59880.5</v>
      </c>
      <c r="D95" s="112">
        <f>158.8+434.4+321.9</f>
        <v>915.1</v>
      </c>
      <c r="E95" s="107">
        <f>D95/D150*100</f>
        <v>1.7835946712404867</v>
      </c>
      <c r="F95" s="110">
        <f t="shared" si="10"/>
        <v>16.365327181358087</v>
      </c>
      <c r="G95" s="106">
        <f>D95/C95*100</f>
        <v>1.5282103522849677</v>
      </c>
      <c r="H95" s="112">
        <f t="shared" si="11"/>
        <v>4676.599999999999</v>
      </c>
      <c r="I95" s="122">
        <f>C95-D95</f>
        <v>58965.4</v>
      </c>
    </row>
    <row r="96" spans="1:9" ht="18.75" thickBot="1">
      <c r="A96" s="109" t="s">
        <v>85</v>
      </c>
      <c r="B96" s="114">
        <v>1212.8</v>
      </c>
      <c r="C96" s="115">
        <v>10660.3</v>
      </c>
      <c r="D96" s="116"/>
      <c r="E96" s="117">
        <f>D96/D95*100</f>
        <v>0</v>
      </c>
      <c r="F96" s="118">
        <f t="shared" si="10"/>
        <v>0</v>
      </c>
      <c r="G96" s="119">
        <f>D96/C96*100</f>
        <v>0</v>
      </c>
      <c r="H96" s="123">
        <f t="shared" si="11"/>
        <v>1212.8</v>
      </c>
      <c r="I96" s="124">
        <f>C96-D96</f>
        <v>10660.3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v>1148</v>
      </c>
      <c r="C102" s="92">
        <v>12999.2</v>
      </c>
      <c r="D102" s="79">
        <f>139.4+4+202+15.3+32.9</f>
        <v>393.59999999999997</v>
      </c>
      <c r="E102" s="19">
        <f>D102/D150*100</f>
        <v>0.7671542592069233</v>
      </c>
      <c r="F102" s="19">
        <f>D102/B102*100</f>
        <v>34.28571428571428</v>
      </c>
      <c r="G102" s="19">
        <f aca="true" t="shared" si="12" ref="G102:G148">D102/C102*100</f>
        <v>3.0278786386854573</v>
      </c>
      <c r="H102" s="79">
        <f aca="true" t="shared" si="13" ref="H102:H107">B102-D102</f>
        <v>754.4000000000001</v>
      </c>
      <c r="I102" s="79">
        <f aca="true" t="shared" si="14" ref="I102:I148">C102-D102</f>
        <v>12605.6</v>
      </c>
    </row>
    <row r="103" spans="1:9" ht="18">
      <c r="A103" s="23" t="s">
        <v>3</v>
      </c>
      <c r="B103" s="89">
        <v>0</v>
      </c>
      <c r="C103" s="87">
        <v>259.1</v>
      </c>
      <c r="D103" s="87"/>
      <c r="E103" s="83">
        <f>D103/D102*100</f>
        <v>0</v>
      </c>
      <c r="F103" s="103" t="e">
        <f>D103/B103*100</f>
        <v>#DIV/0!</v>
      </c>
      <c r="G103" s="83">
        <f>D103/C103*100</f>
        <v>0</v>
      </c>
      <c r="H103" s="87">
        <f t="shared" si="13"/>
        <v>0</v>
      </c>
      <c r="I103" s="87">
        <f t="shared" si="14"/>
        <v>259.1</v>
      </c>
    </row>
    <row r="104" spans="1:9" ht="18">
      <c r="A104" s="85" t="s">
        <v>49</v>
      </c>
      <c r="B104" s="74">
        <v>989.2</v>
      </c>
      <c r="C104" s="44">
        <v>10720.8</v>
      </c>
      <c r="D104" s="44">
        <f>139.3+4+202+15.3</f>
        <v>360.6</v>
      </c>
      <c r="E104" s="1">
        <f>D104/D102*100</f>
        <v>91.6158536585366</v>
      </c>
      <c r="F104" s="1">
        <f aca="true" t="shared" si="15" ref="F104:F148">D104/B104*100</f>
        <v>36.45369995956329</v>
      </c>
      <c r="G104" s="1">
        <f t="shared" si="12"/>
        <v>3.3635549585851807</v>
      </c>
      <c r="H104" s="44">
        <f t="shared" si="13"/>
        <v>628.6</v>
      </c>
      <c r="I104" s="44">
        <f t="shared" si="14"/>
        <v>10360.199999999999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158.79999999999995</v>
      </c>
      <c r="C106" s="88">
        <f>C102-C103-C104</f>
        <v>2019.300000000001</v>
      </c>
      <c r="D106" s="88">
        <f>D102-D103-D104</f>
        <v>32.99999999999994</v>
      </c>
      <c r="E106" s="84">
        <f>D106/D102*100</f>
        <v>8.384146341463401</v>
      </c>
      <c r="F106" s="84">
        <f t="shared" si="15"/>
        <v>20.780856423173773</v>
      </c>
      <c r="G106" s="84">
        <f t="shared" si="12"/>
        <v>1.6342296835537031</v>
      </c>
      <c r="H106" s="124">
        <f>B106-D106</f>
        <v>125.80000000000001</v>
      </c>
      <c r="I106" s="124">
        <f t="shared" si="14"/>
        <v>1986.300000000001</v>
      </c>
    </row>
    <row r="107" spans="1:9" s="2" customFormat="1" ht="26.25" customHeight="1" thickBot="1">
      <c r="A107" s="80" t="s">
        <v>29</v>
      </c>
      <c r="B107" s="81">
        <f>SUM(B108:B147)-B115-B119+B148-B139-B140-B109-B112-B122-B123-B137-B131-B129</f>
        <v>28153.799999999996</v>
      </c>
      <c r="C107" s="81">
        <f>SUM(C108:C147)-C115-C119+C148-C139-C140-C109-C112-C122-C123-C137-C131-C129</f>
        <v>531420.5</v>
      </c>
      <c r="D107" s="81">
        <f>SUM(D108:D147)-D115-D119+D148-D139-D140-D109-D112-D122-D123-D137-D131-D129</f>
        <v>6796</v>
      </c>
      <c r="E107" s="82">
        <f>D107/D150*100</f>
        <v>13.245885024314664</v>
      </c>
      <c r="F107" s="82">
        <f>D107/B107*100</f>
        <v>24.138837386072222</v>
      </c>
      <c r="G107" s="82">
        <f t="shared" si="12"/>
        <v>1.2788366274917886</v>
      </c>
      <c r="H107" s="81">
        <f t="shared" si="13"/>
        <v>21357.799999999996</v>
      </c>
      <c r="I107" s="81">
        <f t="shared" si="14"/>
        <v>524624.5</v>
      </c>
    </row>
    <row r="108" spans="1:9" ht="37.5">
      <c r="A108" s="28" t="s">
        <v>53</v>
      </c>
      <c r="B108" s="71">
        <v>486.5</v>
      </c>
      <c r="C108" s="67">
        <v>4095.6</v>
      </c>
      <c r="D108" s="72">
        <f>12.6</f>
        <v>12.6</v>
      </c>
      <c r="E108" s="6">
        <f>D108/D107*100</f>
        <v>0.18540317834020012</v>
      </c>
      <c r="F108" s="6">
        <f t="shared" si="15"/>
        <v>2.5899280575539567</v>
      </c>
      <c r="G108" s="6">
        <f t="shared" si="12"/>
        <v>0.30764723117491943</v>
      </c>
      <c r="H108" s="61">
        <f aca="true" t="shared" si="16" ref="H108:H148">B108-D108</f>
        <v>473.9</v>
      </c>
      <c r="I108" s="61">
        <f t="shared" si="14"/>
        <v>4083</v>
      </c>
    </row>
    <row r="109" spans="1:9" ht="18">
      <c r="A109" s="23" t="s">
        <v>26</v>
      </c>
      <c r="B109" s="74">
        <v>361</v>
      </c>
      <c r="C109" s="44">
        <v>2633.8</v>
      </c>
      <c r="D109" s="75"/>
      <c r="E109" s="1">
        <f>D109/D108*100</f>
        <v>0</v>
      </c>
      <c r="F109" s="1">
        <f t="shared" si="15"/>
        <v>0</v>
      </c>
      <c r="G109" s="1">
        <f t="shared" si="12"/>
        <v>0</v>
      </c>
      <c r="H109" s="44">
        <f t="shared" si="16"/>
        <v>361</v>
      </c>
      <c r="I109" s="44">
        <f t="shared" si="14"/>
        <v>2633.8</v>
      </c>
    </row>
    <row r="110" spans="1:9" ht="34.5" customHeight="1" hidden="1">
      <c r="A110" s="16" t="s">
        <v>80</v>
      </c>
      <c r="B110" s="73"/>
      <c r="C110" s="61"/>
      <c r="D110" s="72"/>
      <c r="E110" s="6">
        <f>D110/D107*100</f>
        <v>0</v>
      </c>
      <c r="F110" s="6" t="e">
        <f>D110/B110*100</f>
        <v>#DIV/0!</v>
      </c>
      <c r="G110" s="6" t="e">
        <f t="shared" si="12"/>
        <v>#DIV/0!</v>
      </c>
      <c r="H110" s="61">
        <f t="shared" si="16"/>
        <v>0</v>
      </c>
      <c r="I110" s="61">
        <f t="shared" si="14"/>
        <v>0</v>
      </c>
    </row>
    <row r="111" spans="1:9" s="37" customFormat="1" ht="34.5" customHeight="1">
      <c r="A111" s="16" t="s">
        <v>104</v>
      </c>
      <c r="B111" s="73">
        <v>0</v>
      </c>
      <c r="C111" s="53">
        <v>696.7</v>
      </c>
      <c r="D111" s="76"/>
      <c r="E111" s="6">
        <f>D111/D107*100</f>
        <v>0</v>
      </c>
      <c r="F111" s="125" t="e">
        <f t="shared" si="15"/>
        <v>#DIV/0!</v>
      </c>
      <c r="G111" s="6">
        <f t="shared" si="12"/>
        <v>0</v>
      </c>
      <c r="H111" s="61">
        <f t="shared" si="16"/>
        <v>0</v>
      </c>
      <c r="I111" s="61">
        <f t="shared" si="14"/>
        <v>696.7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95</v>
      </c>
      <c r="B113" s="73">
        <v>0</v>
      </c>
      <c r="C113" s="61">
        <v>60</v>
      </c>
      <c r="D113" s="72"/>
      <c r="E113" s="6">
        <f>D113/D107*100</f>
        <v>0</v>
      </c>
      <c r="F113" s="125" t="e">
        <f t="shared" si="15"/>
        <v>#DIV/0!</v>
      </c>
      <c r="G113" s="6">
        <f t="shared" si="12"/>
        <v>0</v>
      </c>
      <c r="H113" s="61">
        <f t="shared" si="16"/>
        <v>0</v>
      </c>
      <c r="I113" s="61">
        <f t="shared" si="14"/>
        <v>60</v>
      </c>
    </row>
    <row r="114" spans="1:9" ht="37.5">
      <c r="A114" s="16" t="s">
        <v>39</v>
      </c>
      <c r="B114" s="73">
        <v>276.7</v>
      </c>
      <c r="C114" s="61">
        <v>2915.4</v>
      </c>
      <c r="D114" s="72">
        <f>136.4+40</f>
        <v>176.4</v>
      </c>
      <c r="E114" s="6">
        <f>D114/D107*100</f>
        <v>2.5956444967628016</v>
      </c>
      <c r="F114" s="6">
        <f t="shared" si="15"/>
        <v>63.75135525840261</v>
      </c>
      <c r="G114" s="6">
        <f t="shared" si="12"/>
        <v>6.050627701173081</v>
      </c>
      <c r="H114" s="61">
        <f t="shared" si="16"/>
        <v>100.29999999999998</v>
      </c>
      <c r="I114" s="61">
        <f t="shared" si="14"/>
        <v>2739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96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0</v>
      </c>
      <c r="C117" s="61">
        <v>99</v>
      </c>
      <c r="D117" s="72"/>
      <c r="E117" s="6">
        <f>D117/D107*100</f>
        <v>0</v>
      </c>
      <c r="F117" s="125" t="e">
        <f>D117/B117*100</f>
        <v>#DIV/0!</v>
      </c>
      <c r="G117" s="6">
        <f t="shared" si="12"/>
        <v>0</v>
      </c>
      <c r="H117" s="61">
        <f t="shared" si="16"/>
        <v>0</v>
      </c>
      <c r="I117" s="61">
        <f t="shared" si="14"/>
        <v>99</v>
      </c>
    </row>
    <row r="118" spans="1:9" s="2" customFormat="1" ht="18.75">
      <c r="A118" s="16" t="s">
        <v>15</v>
      </c>
      <c r="B118" s="73">
        <v>45.2</v>
      </c>
      <c r="C118" s="53">
        <v>422.8</v>
      </c>
      <c r="D118" s="72">
        <f>39</f>
        <v>39</v>
      </c>
      <c r="E118" s="6">
        <f>D118/D107*100</f>
        <v>0.5738669805768098</v>
      </c>
      <c r="F118" s="6">
        <f t="shared" si="15"/>
        <v>86.28318584070796</v>
      </c>
      <c r="G118" s="6">
        <f t="shared" si="12"/>
        <v>9.224219489120152</v>
      </c>
      <c r="H118" s="61">
        <f t="shared" si="16"/>
        <v>6.200000000000003</v>
      </c>
      <c r="I118" s="61">
        <f t="shared" si="14"/>
        <v>383.8</v>
      </c>
    </row>
    <row r="119" spans="1:9" s="32" customFormat="1" ht="18">
      <c r="A119" s="33" t="s">
        <v>44</v>
      </c>
      <c r="B119" s="74">
        <v>39</v>
      </c>
      <c r="C119" s="44">
        <v>351.4</v>
      </c>
      <c r="D119" s="75">
        <f>39</f>
        <v>39</v>
      </c>
      <c r="E119" s="1">
        <f>D119/D118*100</f>
        <v>100</v>
      </c>
      <c r="F119" s="1">
        <f t="shared" si="15"/>
        <v>100</v>
      </c>
      <c r="G119" s="1">
        <f t="shared" si="12"/>
        <v>11.09846328969835</v>
      </c>
      <c r="H119" s="44">
        <f t="shared" si="16"/>
        <v>0</v>
      </c>
      <c r="I119" s="44">
        <f t="shared" si="14"/>
        <v>312.4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105</v>
      </c>
      <c r="B121" s="73">
        <v>5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5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106</v>
      </c>
      <c r="B124" s="73">
        <v>3658.3</v>
      </c>
      <c r="C124" s="53">
        <v>33585.8</v>
      </c>
      <c r="D124" s="76"/>
      <c r="E124" s="17">
        <f>D124/D107*100</f>
        <v>0</v>
      </c>
      <c r="F124" s="6">
        <f t="shared" si="15"/>
        <v>0</v>
      </c>
      <c r="G124" s="6">
        <f t="shared" si="12"/>
        <v>0</v>
      </c>
      <c r="H124" s="61">
        <f t="shared" si="16"/>
        <v>3658.3</v>
      </c>
      <c r="I124" s="61">
        <f t="shared" si="14"/>
        <v>33585.8</v>
      </c>
    </row>
    <row r="125" spans="1:9" s="2" customFormat="1" ht="18.75">
      <c r="A125" s="16" t="s">
        <v>98</v>
      </c>
      <c r="B125" s="73">
        <v>10</v>
      </c>
      <c r="C125" s="53">
        <v>585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10</v>
      </c>
      <c r="I125" s="61">
        <f t="shared" si="14"/>
        <v>585</v>
      </c>
    </row>
    <row r="126" spans="1:9" s="2" customFormat="1" ht="37.5" hidden="1">
      <c r="A126" s="16" t="s">
        <v>97</v>
      </c>
      <c r="B126" s="73"/>
      <c r="C126" s="53"/>
      <c r="D126" s="76"/>
      <c r="E126" s="17">
        <f>D126/D107*100</f>
        <v>0</v>
      </c>
      <c r="F126" s="125" t="e">
        <f t="shared" si="15"/>
        <v>#DIV/0!</v>
      </c>
      <c r="G126" s="6" t="e">
        <f t="shared" si="12"/>
        <v>#DIV/0!</v>
      </c>
      <c r="H126" s="61">
        <f t="shared" si="16"/>
        <v>0</v>
      </c>
      <c r="I126" s="61">
        <f t="shared" si="14"/>
        <v>0</v>
      </c>
    </row>
    <row r="127" spans="1:9" s="2" customFormat="1" ht="37.5">
      <c r="A127" s="16" t="s">
        <v>87</v>
      </c>
      <c r="B127" s="73">
        <v>40.8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40.8</v>
      </c>
      <c r="I127" s="61">
        <f t="shared" si="14"/>
        <v>81.6</v>
      </c>
    </row>
    <row r="128" spans="1:9" s="2" customFormat="1" ht="37.5">
      <c r="A128" s="16" t="s">
        <v>59</v>
      </c>
      <c r="B128" s="73">
        <v>269.2</v>
      </c>
      <c r="C128" s="53">
        <v>1253.3</v>
      </c>
      <c r="D128" s="76">
        <f>6.4</f>
        <v>6.4</v>
      </c>
      <c r="E128" s="17">
        <f>D128/D107*100</f>
        <v>0.09417304296645086</v>
      </c>
      <c r="F128" s="6">
        <f t="shared" si="15"/>
        <v>2.3774145616641906</v>
      </c>
      <c r="G128" s="6">
        <f t="shared" si="12"/>
        <v>0.5106518790393362</v>
      </c>
      <c r="H128" s="61">
        <f t="shared" si="16"/>
        <v>262.8</v>
      </c>
      <c r="I128" s="61">
        <f t="shared" si="14"/>
        <v>1246.8999999999999</v>
      </c>
    </row>
    <row r="129" spans="1:9" s="32" customFormat="1" ht="18">
      <c r="A129" s="23" t="s">
        <v>91</v>
      </c>
      <c r="B129" s="74">
        <v>91.2</v>
      </c>
      <c r="C129" s="44">
        <v>459.6</v>
      </c>
      <c r="D129" s="75">
        <f>6.4</f>
        <v>6.4</v>
      </c>
      <c r="E129" s="1">
        <f>D129/D128*100</f>
        <v>100</v>
      </c>
      <c r="F129" s="1">
        <f>D129/B129*100</f>
        <v>7.017543859649122</v>
      </c>
      <c r="G129" s="1">
        <f t="shared" si="12"/>
        <v>1.392515230635335</v>
      </c>
      <c r="H129" s="44">
        <f t="shared" si="16"/>
        <v>84.8</v>
      </c>
      <c r="I129" s="44">
        <f t="shared" si="14"/>
        <v>453.20000000000005</v>
      </c>
    </row>
    <row r="130" spans="1:9" s="2" customFormat="1" ht="37.5" hidden="1">
      <c r="A130" s="16" t="s">
        <v>99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90</v>
      </c>
      <c r="B134" s="73">
        <v>9.1</v>
      </c>
      <c r="C134" s="53">
        <v>108.1</v>
      </c>
      <c r="D134" s="76"/>
      <c r="E134" s="17">
        <f>D134/D107*100</f>
        <v>0</v>
      </c>
      <c r="F134" s="6">
        <f t="shared" si="15"/>
        <v>0</v>
      </c>
      <c r="G134" s="6">
        <f t="shared" si="12"/>
        <v>0</v>
      </c>
      <c r="H134" s="61">
        <f t="shared" si="16"/>
        <v>9.1</v>
      </c>
      <c r="I134" s="61">
        <f t="shared" si="14"/>
        <v>108.1</v>
      </c>
    </row>
    <row r="135" spans="1:9" s="2" customFormat="1" ht="37.5">
      <c r="A135" s="16" t="s">
        <v>56</v>
      </c>
      <c r="B135" s="73">
        <v>0</v>
      </c>
      <c r="C135" s="53">
        <v>626.8</v>
      </c>
      <c r="D135" s="76"/>
      <c r="E135" s="17">
        <f>D135/D107*100</f>
        <v>0</v>
      </c>
      <c r="F135" s="125" t="e">
        <f t="shared" si="15"/>
        <v>#DIV/0!</v>
      </c>
      <c r="G135" s="6">
        <f t="shared" si="12"/>
        <v>0</v>
      </c>
      <c r="H135" s="61">
        <f t="shared" si="16"/>
        <v>0</v>
      </c>
      <c r="I135" s="61">
        <f t="shared" si="14"/>
        <v>626.8</v>
      </c>
    </row>
    <row r="136" spans="1:9" s="2" customFormat="1" ht="37.5">
      <c r="A136" s="16" t="s">
        <v>86</v>
      </c>
      <c r="B136" s="73">
        <v>55.5</v>
      </c>
      <c r="C136" s="53">
        <v>381.2</v>
      </c>
      <c r="D136" s="76"/>
      <c r="E136" s="17">
        <f>D136/D107*100</f>
        <v>0</v>
      </c>
      <c r="F136" s="6">
        <f t="shared" si="15"/>
        <v>0</v>
      </c>
      <c r="G136" s="6">
        <f>D136/C136*100</f>
        <v>0</v>
      </c>
      <c r="H136" s="61">
        <f t="shared" si="16"/>
        <v>55.5</v>
      </c>
      <c r="I136" s="61">
        <f t="shared" si="14"/>
        <v>381.2</v>
      </c>
    </row>
    <row r="137" spans="1:9" s="32" customFormat="1" ht="18">
      <c r="A137" s="23" t="s">
        <v>26</v>
      </c>
      <c r="B137" s="74">
        <v>42.7</v>
      </c>
      <c r="C137" s="44">
        <v>306.1</v>
      </c>
      <c r="D137" s="75"/>
      <c r="E137" s="103" t="e">
        <f>D137/D136*100</f>
        <v>#DIV/0!</v>
      </c>
      <c r="F137" s="1">
        <f t="shared" si="15"/>
        <v>0</v>
      </c>
      <c r="G137" s="1">
        <f>D137/C137*100</f>
        <v>0</v>
      </c>
      <c r="H137" s="44">
        <f t="shared" si="16"/>
        <v>42.7</v>
      </c>
      <c r="I137" s="44">
        <f t="shared" si="14"/>
        <v>306.1</v>
      </c>
    </row>
    <row r="138" spans="1:9" s="2" customFormat="1" ht="18.75">
      <c r="A138" s="16" t="s">
        <v>107</v>
      </c>
      <c r="B138" s="73">
        <v>121.1</v>
      </c>
      <c r="C138" s="53">
        <v>1397.4</v>
      </c>
      <c r="D138" s="76">
        <f>26+59.9</f>
        <v>85.9</v>
      </c>
      <c r="E138" s="17">
        <f>D138/D107*100</f>
        <v>1.2639788110653325</v>
      </c>
      <c r="F138" s="6">
        <f t="shared" si="15"/>
        <v>70.93311312964494</v>
      </c>
      <c r="G138" s="6">
        <f t="shared" si="12"/>
        <v>6.1471303850007155</v>
      </c>
      <c r="H138" s="61">
        <f t="shared" si="16"/>
        <v>35.19999999999999</v>
      </c>
      <c r="I138" s="61">
        <f t="shared" si="14"/>
        <v>1311.5</v>
      </c>
    </row>
    <row r="139" spans="1:9" s="32" customFormat="1" ht="18">
      <c r="A139" s="33" t="s">
        <v>44</v>
      </c>
      <c r="B139" s="74">
        <v>86</v>
      </c>
      <c r="C139" s="44">
        <v>1063.5</v>
      </c>
      <c r="D139" s="75">
        <f>26+59.9</f>
        <v>85.9</v>
      </c>
      <c r="E139" s="1">
        <f>D139/D138*100</f>
        <v>100</v>
      </c>
      <c r="F139" s="1">
        <f aca="true" t="shared" si="17" ref="F139:F147">D139/B139*100</f>
        <v>99.88372093023257</v>
      </c>
      <c r="G139" s="1">
        <f t="shared" si="12"/>
        <v>8.077103902209686</v>
      </c>
      <c r="H139" s="44">
        <f t="shared" si="16"/>
        <v>0.09999999999999432</v>
      </c>
      <c r="I139" s="44">
        <f t="shared" si="14"/>
        <v>977.6</v>
      </c>
    </row>
    <row r="140" spans="1:9" s="32" customFormat="1" ht="18">
      <c r="A140" s="23" t="s">
        <v>26</v>
      </c>
      <c r="B140" s="74">
        <v>7.9</v>
      </c>
      <c r="C140" s="44">
        <v>37.5</v>
      </c>
      <c r="D140" s="75"/>
      <c r="E140" s="1">
        <f>D140/D138*100</f>
        <v>0</v>
      </c>
      <c r="F140" s="1">
        <f t="shared" si="17"/>
        <v>0</v>
      </c>
      <c r="G140" s="1">
        <f>D140/C140*100</f>
        <v>0</v>
      </c>
      <c r="H140" s="44">
        <f t="shared" si="16"/>
        <v>7.9</v>
      </c>
      <c r="I140" s="44">
        <f t="shared" si="14"/>
        <v>37.5</v>
      </c>
    </row>
    <row r="141" spans="1:9" s="2" customFormat="1" ht="56.25" hidden="1">
      <c r="A141" s="18" t="s">
        <v>89</v>
      </c>
      <c r="B141" s="73"/>
      <c r="C141" s="53"/>
      <c r="D141" s="76"/>
      <c r="E141" s="17">
        <f>D141/D107*100</f>
        <v>0</v>
      </c>
      <c r="F141" s="99" t="e">
        <f t="shared" si="17"/>
        <v>#DIV/0!</v>
      </c>
      <c r="G141" s="6" t="e">
        <f t="shared" si="12"/>
        <v>#DIV/0!</v>
      </c>
      <c r="H141" s="61">
        <f t="shared" si="16"/>
        <v>0</v>
      </c>
      <c r="I141" s="61">
        <f t="shared" si="14"/>
        <v>0</v>
      </c>
    </row>
    <row r="142" spans="1:9" s="2" customFormat="1" ht="18.75" hidden="1">
      <c r="A142" s="18" t="s">
        <v>100</v>
      </c>
      <c r="B142" s="73"/>
      <c r="C142" s="53"/>
      <c r="D142" s="76"/>
      <c r="E142" s="17">
        <f>D142/D107*100</f>
        <v>0</v>
      </c>
      <c r="F142" s="99" t="e">
        <f>D142/B142*100</f>
        <v>#DIV/0!</v>
      </c>
      <c r="G142" s="6" t="e">
        <f t="shared" si="12"/>
        <v>#DIV/0!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108</v>
      </c>
      <c r="B143" s="73">
        <v>5500.8</v>
      </c>
      <c r="C143" s="53">
        <v>67967</v>
      </c>
      <c r="D143" s="76">
        <f>2189.1+2579.7+68.9</f>
        <v>4837.699999999999</v>
      </c>
      <c r="E143" s="17">
        <f>D143/D107*100</f>
        <v>71.18452030606237</v>
      </c>
      <c r="F143" s="99">
        <f t="shared" si="17"/>
        <v>87.94538976148921</v>
      </c>
      <c r="G143" s="6">
        <f t="shared" si="12"/>
        <v>7.117718892992187</v>
      </c>
      <c r="H143" s="61">
        <f t="shared" si="16"/>
        <v>663.1000000000013</v>
      </c>
      <c r="I143" s="61">
        <f t="shared" si="14"/>
        <v>63129.3</v>
      </c>
    </row>
    <row r="144" spans="1:9" s="2" customFormat="1" ht="18.75" hidden="1">
      <c r="A144" s="18" t="s">
        <v>88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109</v>
      </c>
      <c r="B145" s="73">
        <v>0</v>
      </c>
      <c r="C145" s="53">
        <v>234</v>
      </c>
      <c r="D145" s="76"/>
      <c r="E145" s="17">
        <f>D145/D107*100</f>
        <v>0</v>
      </c>
      <c r="F145" s="128" t="e">
        <f t="shared" si="17"/>
        <v>#DIV/0!</v>
      </c>
      <c r="G145" s="6">
        <f t="shared" si="12"/>
        <v>0</v>
      </c>
      <c r="H145" s="61">
        <f t="shared" si="16"/>
        <v>0</v>
      </c>
      <c r="I145" s="61">
        <f t="shared" si="14"/>
        <v>234</v>
      </c>
    </row>
    <row r="146" spans="1:12" s="2" customFormat="1" ht="18.75" customHeight="1">
      <c r="A146" s="16" t="s">
        <v>79</v>
      </c>
      <c r="B146" s="73">
        <v>824.9</v>
      </c>
      <c r="C146" s="53">
        <v>10550.8</v>
      </c>
      <c r="D146" s="76"/>
      <c r="E146" s="17">
        <f>D146/D107*100</f>
        <v>0</v>
      </c>
      <c r="F146" s="99">
        <f t="shared" si="17"/>
        <v>0</v>
      </c>
      <c r="G146" s="6">
        <f t="shared" si="12"/>
        <v>0</v>
      </c>
      <c r="H146" s="61">
        <f t="shared" si="16"/>
        <v>824.9</v>
      </c>
      <c r="I146" s="61">
        <f t="shared" si="14"/>
        <v>10550.8</v>
      </c>
      <c r="K146" s="38"/>
      <c r="L146" s="38"/>
    </row>
    <row r="147" spans="1:12" s="2" customFormat="1" ht="19.5" customHeight="1">
      <c r="A147" s="16" t="s">
        <v>51</v>
      </c>
      <c r="B147" s="73">
        <v>14393.6</v>
      </c>
      <c r="C147" s="53">
        <v>376354.8</v>
      </c>
      <c r="D147" s="76"/>
      <c r="E147" s="17">
        <f>D147/D107*100</f>
        <v>0</v>
      </c>
      <c r="F147" s="6">
        <f t="shared" si="17"/>
        <v>0</v>
      </c>
      <c r="G147" s="6">
        <f t="shared" si="12"/>
        <v>0</v>
      </c>
      <c r="H147" s="61">
        <f t="shared" si="16"/>
        <v>14393.6</v>
      </c>
      <c r="I147" s="61">
        <f t="shared" si="14"/>
        <v>376354.8</v>
      </c>
      <c r="K147" s="91"/>
      <c r="L147" s="38"/>
    </row>
    <row r="148" spans="1:12" s="2" customFormat="1" ht="18.75">
      <c r="A148" s="16" t="s">
        <v>110</v>
      </c>
      <c r="B148" s="73">
        <v>2457.1</v>
      </c>
      <c r="C148" s="53">
        <v>29485.2</v>
      </c>
      <c r="D148" s="76">
        <f>819+819</f>
        <v>1638</v>
      </c>
      <c r="E148" s="17">
        <f>D148/D107*100</f>
        <v>24.102413184226016</v>
      </c>
      <c r="F148" s="6">
        <f t="shared" si="15"/>
        <v>66.66395344104839</v>
      </c>
      <c r="G148" s="6">
        <f t="shared" si="12"/>
        <v>5.555329453420699</v>
      </c>
      <c r="H148" s="61">
        <f t="shared" si="16"/>
        <v>819.0999999999999</v>
      </c>
      <c r="I148" s="61">
        <f t="shared" si="14"/>
        <v>27847.2</v>
      </c>
      <c r="K148" s="38"/>
      <c r="L148" s="38"/>
    </row>
    <row r="149" spans="1:12" s="2" customFormat="1" ht="19.5" thickBot="1">
      <c r="A149" s="34" t="s">
        <v>30</v>
      </c>
      <c r="B149" s="77">
        <f>B43+B69+B72+B77+B79+B87+B102+B107+B100+B84+B98</f>
        <v>30329.799999999996</v>
      </c>
      <c r="C149" s="77">
        <f>C43+C69+C72+C77+C79+C87+C102+C107+C100+C84+C98</f>
        <v>556446</v>
      </c>
      <c r="D149" s="53">
        <f>D43+D69+D72+D77+D79+D87+D102+D107+D100+D84+D98</f>
        <v>7218.7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152250.89999999997</v>
      </c>
      <c r="C150" s="47">
        <f>C6+C18+C33+C43+C51+C59+C69+C72+C77+C79+C87+C90+C95+C102+C107+C100+C84+C98+C45</f>
        <v>1839313.0999999999</v>
      </c>
      <c r="D150" s="47">
        <f>D6+D18+D33+D43+D51+D59+D69+D72+D77+D79+D87+D90+D95+D102+D107+D100+D84+D98+D45</f>
        <v>51306.499999999985</v>
      </c>
      <c r="E150" s="31">
        <v>100</v>
      </c>
      <c r="F150" s="3">
        <f>D150/B150*100</f>
        <v>33.69865137086217</v>
      </c>
      <c r="G150" s="3">
        <f aca="true" t="shared" si="18" ref="G150:G156">D150/C150*100</f>
        <v>2.7894380788132263</v>
      </c>
      <c r="H150" s="47">
        <f aca="true" t="shared" si="19" ref="H150:H156">B150-D150</f>
        <v>100944.39999999998</v>
      </c>
      <c r="I150" s="47">
        <f aca="true" t="shared" si="20" ref="I150:I156">C150-D150</f>
        <v>1788006.5999999999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59489.399999999994</v>
      </c>
      <c r="C151" s="60">
        <f>C8+C20+C34+C52+C60+C91+C115+C119+C46+C139+C131+C103</f>
        <v>722894.7</v>
      </c>
      <c r="D151" s="60">
        <f>D8+D20+D34+D52+D60+D91+D115+D119+D46+D139+D131+D103</f>
        <v>33920.7</v>
      </c>
      <c r="E151" s="6">
        <f>D151/D150*100</f>
        <v>66.11384522428934</v>
      </c>
      <c r="F151" s="6">
        <f aca="true" t="shared" si="21" ref="F151:F156">D151/B151*100</f>
        <v>57.019737970125774</v>
      </c>
      <c r="G151" s="6">
        <f t="shared" si="18"/>
        <v>4.692343158692407</v>
      </c>
      <c r="H151" s="61">
        <f t="shared" si="19"/>
        <v>25568.699999999997</v>
      </c>
      <c r="I151" s="72">
        <f t="shared" si="20"/>
        <v>688974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19459.000000000004</v>
      </c>
      <c r="C152" s="61">
        <f>C11+C23+C36+C55+C62+C92+C49+C140+C109+C112+C96+C137</f>
        <v>102469.50000000003</v>
      </c>
      <c r="D152" s="61">
        <f>D11+D23+D36+D55+D62+D92+D49+D140+D109+D112+D96+D137</f>
        <v>6.6</v>
      </c>
      <c r="E152" s="6">
        <f>D152/D150*100</f>
        <v>0.012863867151335603</v>
      </c>
      <c r="F152" s="6">
        <f t="shared" si="21"/>
        <v>0.03391746749576031</v>
      </c>
      <c r="G152" s="6">
        <f t="shared" si="18"/>
        <v>0.006440940962920672</v>
      </c>
      <c r="H152" s="61">
        <f t="shared" si="19"/>
        <v>19452.400000000005</v>
      </c>
      <c r="I152" s="72">
        <f t="shared" si="20"/>
        <v>102462.90000000002</v>
      </c>
      <c r="K152" s="39"/>
      <c r="L152" s="90"/>
    </row>
    <row r="153" spans="1:12" ht="18.75">
      <c r="A153" s="18" t="s">
        <v>1</v>
      </c>
      <c r="B153" s="60">
        <f>B22+B10+B54+B48+B61+B35+B123</f>
        <v>2274.7999999999997</v>
      </c>
      <c r="C153" s="60">
        <f>C22+C10+C54+C48+C61+C35+C123</f>
        <v>28682.2</v>
      </c>
      <c r="D153" s="60">
        <f>D22+D10+D54+D48+D61+D35+D123</f>
        <v>852.3</v>
      </c>
      <c r="E153" s="6">
        <f>D153/D150*100</f>
        <v>1.6611930262247478</v>
      </c>
      <c r="F153" s="6">
        <f t="shared" si="21"/>
        <v>37.467030068577465</v>
      </c>
      <c r="G153" s="6">
        <f t="shared" si="18"/>
        <v>2.9715293805914467</v>
      </c>
      <c r="H153" s="61">
        <f t="shared" si="19"/>
        <v>1422.4999999999998</v>
      </c>
      <c r="I153" s="72">
        <f t="shared" si="20"/>
        <v>27829.9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2412.8999999999996</v>
      </c>
      <c r="C154" s="60">
        <f>C12+C24+C104+C63+C38+C93+C129+C56</f>
        <v>29532.599999999995</v>
      </c>
      <c r="D154" s="60">
        <f>D12+D24+D104+D63+D38+D93+D129+D56</f>
        <v>647.9</v>
      </c>
      <c r="E154" s="6">
        <f>D154/D150*100</f>
        <v>1.2628029586894451</v>
      </c>
      <c r="F154" s="6">
        <f t="shared" si="21"/>
        <v>26.851506485971242</v>
      </c>
      <c r="G154" s="6">
        <f t="shared" si="18"/>
        <v>2.1938467998076705</v>
      </c>
      <c r="H154" s="61">
        <f t="shared" si="19"/>
        <v>1764.9999999999995</v>
      </c>
      <c r="I154" s="72">
        <f t="shared" si="20"/>
        <v>28884.699999999993</v>
      </c>
      <c r="K154" s="39"/>
      <c r="L154" s="90"/>
    </row>
    <row r="155" spans="1:12" ht="18.75">
      <c r="A155" s="18" t="s">
        <v>2</v>
      </c>
      <c r="B155" s="60">
        <f>B9+B21+B47+B53+B122</f>
        <v>4.6</v>
      </c>
      <c r="C155" s="60">
        <f>C9+C21+C47+C53+C122</f>
        <v>186.9</v>
      </c>
      <c r="D155" s="60">
        <f>D9+D21+D47+D53+D122</f>
        <v>0</v>
      </c>
      <c r="E155" s="6">
        <f>D155/D150*100</f>
        <v>0</v>
      </c>
      <c r="F155" s="6">
        <f t="shared" si="21"/>
        <v>0</v>
      </c>
      <c r="G155" s="6">
        <f t="shared" si="18"/>
        <v>0</v>
      </c>
      <c r="H155" s="61">
        <f t="shared" si="19"/>
        <v>4.6</v>
      </c>
      <c r="I155" s="72">
        <f t="shared" si="20"/>
        <v>186.9</v>
      </c>
      <c r="K155" s="39"/>
      <c r="L155" s="40"/>
    </row>
    <row r="156" spans="1:12" ht="19.5" thickBot="1">
      <c r="A156" s="126" t="s">
        <v>28</v>
      </c>
      <c r="B156" s="78">
        <f>B150-B151-B152-B153-B154-B155</f>
        <v>68610.19999999997</v>
      </c>
      <c r="C156" s="78">
        <f>C150-C151-C152-C153-C154-C155</f>
        <v>955547.2</v>
      </c>
      <c r="D156" s="78">
        <f>D150-D151-D152-D153-D154-D155</f>
        <v>15878.99999999999</v>
      </c>
      <c r="E156" s="36">
        <f>D156/D150*100</f>
        <v>30.949294923645144</v>
      </c>
      <c r="F156" s="36">
        <f t="shared" si="21"/>
        <v>23.143789115904045</v>
      </c>
      <c r="G156" s="36">
        <f t="shared" si="18"/>
        <v>1.661770344782549</v>
      </c>
      <c r="H156" s="127">
        <f t="shared" si="19"/>
        <v>52731.199999999975</v>
      </c>
      <c r="I156" s="127">
        <f t="shared" si="20"/>
        <v>939668.2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4" right="0.16" top="0.2" bottom="0.19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1839313.0999999999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51306.499999999985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1839313.0999999999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51306.499999999985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2017-01-11T06:51:32Z</cp:lastPrinted>
  <dcterms:created xsi:type="dcterms:W3CDTF">2000-06-20T04:48:00Z</dcterms:created>
  <dcterms:modified xsi:type="dcterms:W3CDTF">2017-01-27T06:01:09Z</dcterms:modified>
  <cp:category/>
  <cp:version/>
  <cp:contentType/>
  <cp:contentStatus/>
</cp:coreProperties>
</file>